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38220" windowHeight="21040" tabRatio="500" activeTab="2"/>
  </bookViews>
  <sheets>
    <sheet name="Cooling Load" sheetId="1" r:id="rId1"/>
    <sheet name="Single Stage" sheetId="2" r:id="rId2"/>
    <sheet name="Multi-Stage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  <c r="B23" i="3"/>
  <c r="B22" i="3"/>
  <c r="B19" i="2"/>
  <c r="B15" i="2"/>
  <c r="B15" i="1"/>
  <c r="B14" i="1"/>
  <c r="B18" i="1"/>
  <c r="B21" i="1"/>
  <c r="B22" i="1"/>
  <c r="F20" i="1"/>
  <c r="F21" i="1"/>
  <c r="F12" i="1"/>
  <c r="F16" i="1"/>
  <c r="F19" i="1"/>
  <c r="F10" i="1"/>
  <c r="F18" i="1"/>
  <c r="F17" i="1"/>
  <c r="F8" i="1"/>
  <c r="F9" i="1"/>
  <c r="B10" i="1"/>
  <c r="B11" i="1"/>
  <c r="B12" i="1"/>
  <c r="B13" i="1"/>
  <c r="B19" i="1"/>
  <c r="B10" i="2"/>
  <c r="B11" i="2"/>
  <c r="B12" i="3"/>
  <c r="B13" i="3"/>
  <c r="B14" i="3"/>
  <c r="B15" i="3"/>
  <c r="B25" i="3"/>
  <c r="B24" i="3"/>
  <c r="B7" i="3"/>
  <c r="B9" i="3"/>
  <c r="B5" i="3"/>
  <c r="B7" i="2"/>
  <c r="B5" i="2"/>
  <c r="B17" i="2"/>
  <c r="B16" i="2"/>
  <c r="B9" i="1"/>
  <c r="B7" i="1"/>
  <c r="B8" i="1"/>
  <c r="F4" i="1"/>
</calcChain>
</file>

<file path=xl/sharedStrings.xml><?xml version="1.0" encoding="utf-8"?>
<sst xmlns="http://schemas.openxmlformats.org/spreadsheetml/2006/main" count="158" uniqueCount="76">
  <si>
    <t>Cooling Load from Conduction/Convection</t>
  </si>
  <si>
    <t>hi</t>
  </si>
  <si>
    <t>ho</t>
  </si>
  <si>
    <t>delta x</t>
  </si>
  <si>
    <t>k wall</t>
  </si>
  <si>
    <t>surface area</t>
  </si>
  <si>
    <t>q</t>
  </si>
  <si>
    <t>T outside</t>
  </si>
  <si>
    <t>T inside (fridge)</t>
  </si>
  <si>
    <t>T inside (freezer)</t>
  </si>
  <si>
    <t>W/m2 K</t>
  </si>
  <si>
    <t>m</t>
  </si>
  <si>
    <t>W/m K</t>
  </si>
  <si>
    <t>m2</t>
  </si>
  <si>
    <t>K</t>
  </si>
  <si>
    <t>1/UA</t>
  </si>
  <si>
    <t>UA</t>
  </si>
  <si>
    <t>q for fridge</t>
  </si>
  <si>
    <t>q for freezer</t>
  </si>
  <si>
    <t>Produce Respiration</t>
  </si>
  <si>
    <t>a</t>
  </si>
  <si>
    <t>mass</t>
  </si>
  <si>
    <t>kg</t>
  </si>
  <si>
    <t>W/kg</t>
  </si>
  <si>
    <t>W</t>
  </si>
  <si>
    <t>kW</t>
  </si>
  <si>
    <t>Single-Stage Refrigeration</t>
  </si>
  <si>
    <t>Evaporator pressure</t>
  </si>
  <si>
    <t>Condenser pressure</t>
  </si>
  <si>
    <t>Condenser temperature out</t>
  </si>
  <si>
    <t>Evaporator temperature out</t>
  </si>
  <si>
    <t>Degrees of subcooling</t>
  </si>
  <si>
    <t>Degrees of superheat</t>
  </si>
  <si>
    <t>H1</t>
  </si>
  <si>
    <t>H2</t>
  </si>
  <si>
    <t>H3</t>
  </si>
  <si>
    <t>Work done by compressor</t>
  </si>
  <si>
    <t>Heat rejected by condenser</t>
  </si>
  <si>
    <t>Heat accepted by evaporator</t>
  </si>
  <si>
    <t>COP</t>
  </si>
  <si>
    <t>Cooling load</t>
  </si>
  <si>
    <t>kPa</t>
  </si>
  <si>
    <t>Mass flowrate of coolant</t>
  </si>
  <si>
    <t>kJ/kg</t>
  </si>
  <si>
    <t>kJ</t>
  </si>
  <si>
    <t>Refrigerant</t>
  </si>
  <si>
    <t>R134a</t>
  </si>
  <si>
    <t>Multi-Stage Refrigeration</t>
  </si>
  <si>
    <t>Total mass flowrate of coolant</t>
  </si>
  <si>
    <t>Mass flowrate of vapor</t>
  </si>
  <si>
    <t>Mass flowrate of liquid</t>
  </si>
  <si>
    <t>Flash tank pressure</t>
  </si>
  <si>
    <t>Temperature in flash tank</t>
  </si>
  <si>
    <t>H1'</t>
  </si>
  <si>
    <t>H2'</t>
  </si>
  <si>
    <t>H3'</t>
  </si>
  <si>
    <t>Work done by secondary compressor</t>
  </si>
  <si>
    <t>Cooling Produce (Refrigeration)</t>
  </si>
  <si>
    <t>T start</t>
  </si>
  <si>
    <t>T finish</t>
  </si>
  <si>
    <t>Cp</t>
  </si>
  <si>
    <t>Cooling Produce (Freezing)</t>
  </si>
  <si>
    <t>Hfus</t>
  </si>
  <si>
    <t>kJ/kg K</t>
  </si>
  <si>
    <t>q for fridge (cooling produce included)</t>
  </si>
  <si>
    <t>q for freezer (cooling produce included)</t>
  </si>
  <si>
    <t>J</t>
  </si>
  <si>
    <t>Total q (no cooling included)</t>
  </si>
  <si>
    <t>Total q (cooling included)</t>
  </si>
  <si>
    <t>Primary compresor efficiency</t>
  </si>
  <si>
    <t>Secondary compressor efficiency</t>
  </si>
  <si>
    <t>Compressor efficiency</t>
  </si>
  <si>
    <t>Cells that are highlighted in green are values used in calculations.  Changing these cells will change calculated values, but will not affect how calculations are performed.</t>
  </si>
  <si>
    <t>Changing both highlighted and unhighlighted cells may affect calculations in other cells and on other sheets!</t>
  </si>
  <si>
    <t>Unhighlighted cells contain calculations.  Be careful not to overwrite the calculations unless you are sure your changes are accurate.</t>
  </si>
  <si>
    <t>Note that values currently in green cells may not be appropriate for the assumptions made or data given!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</si>
</sst>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0" fillId="2" borderId="0" xfId="0" applyFill="1"/>
    <xf numFmtId="11" fontId="0" fillId="2" borderId="0" xfId="0" applyNumberFormat="1" applyFill="1"/>
    <xf numFmtId="11" fontId="0" fillId="0" borderId="0" xfId="0" applyNumberFormat="1"/>
    <xf numFmtId="2" fontId="0" fillId="0" borderId="0" xfId="0" applyNumberFormat="1"/>
    <xf numFmtId="9" fontId="0" fillId="2" borderId="0" xfId="17" applyFont="1" applyFill="1"/>
    <xf numFmtId="9" fontId="0" fillId="2" borderId="0" xfId="0" applyNumberFormat="1" applyFill="1"/>
    <xf numFmtId="0" fontId="0" fillId="0" borderId="0" xfId="0" applyFill="1"/>
  </cellXfs>
  <cellStyles count="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Percent" xfId="1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6" sqref="I6"/>
    </sheetView>
  </sheetViews>
  <sheetFormatPr baseColWidth="10" defaultRowHeight="15" x14ac:dyDescent="0"/>
  <cols>
    <col min="1" max="1" width="15.33203125" customWidth="1"/>
  </cols>
  <sheetData>
    <row r="1" spans="1:9">
      <c r="A1" t="s">
        <v>0</v>
      </c>
      <c r="E1" t="s">
        <v>19</v>
      </c>
    </row>
    <row r="2" spans="1:9">
      <c r="A2" t="s">
        <v>1</v>
      </c>
      <c r="B2" s="2">
        <v>50</v>
      </c>
      <c r="C2" t="s">
        <v>10</v>
      </c>
      <c r="E2" t="s">
        <v>20</v>
      </c>
      <c r="F2" s="2">
        <v>2.5000000000000001E-2</v>
      </c>
      <c r="G2" t="s">
        <v>23</v>
      </c>
      <c r="I2" t="s">
        <v>72</v>
      </c>
    </row>
    <row r="3" spans="1:9">
      <c r="A3" t="s">
        <v>2</v>
      </c>
      <c r="B3" s="2">
        <v>15</v>
      </c>
      <c r="C3" t="s">
        <v>10</v>
      </c>
      <c r="E3" t="s">
        <v>21</v>
      </c>
      <c r="F3" s="3">
        <v>1200000</v>
      </c>
      <c r="G3" t="s">
        <v>22</v>
      </c>
      <c r="I3" t="s">
        <v>74</v>
      </c>
    </row>
    <row r="4" spans="1:9">
      <c r="A4" t="s">
        <v>3</v>
      </c>
      <c r="B4" s="2">
        <v>0.02</v>
      </c>
      <c r="C4" t="s">
        <v>11</v>
      </c>
      <c r="E4" t="s">
        <v>6</v>
      </c>
      <c r="F4" s="1">
        <f>F3*F2</f>
        <v>30000</v>
      </c>
      <c r="I4" t="s">
        <v>73</v>
      </c>
    </row>
    <row r="5" spans="1:9">
      <c r="A5" t="s">
        <v>4</v>
      </c>
      <c r="B5" s="2">
        <v>4.3999999999999997E-2</v>
      </c>
      <c r="C5" t="s">
        <v>12</v>
      </c>
    </row>
    <row r="6" spans="1:9">
      <c r="A6" t="s">
        <v>5</v>
      </c>
      <c r="B6" s="2">
        <v>1000</v>
      </c>
      <c r="C6" t="s">
        <v>13</v>
      </c>
      <c r="I6" t="s">
        <v>75</v>
      </c>
    </row>
    <row r="7" spans="1:9">
      <c r="A7" t="s">
        <v>8</v>
      </c>
      <c r="B7" s="2">
        <f>273+5</f>
        <v>278</v>
      </c>
      <c r="C7" t="s">
        <v>14</v>
      </c>
      <c r="E7" t="s">
        <v>57</v>
      </c>
    </row>
    <row r="8" spans="1:9">
      <c r="A8" t="s">
        <v>9</v>
      </c>
      <c r="B8" s="2">
        <f>273-18</f>
        <v>255</v>
      </c>
      <c r="C8" t="s">
        <v>14</v>
      </c>
      <c r="E8" t="s">
        <v>21</v>
      </c>
      <c r="F8" s="4">
        <f>F3</f>
        <v>1200000</v>
      </c>
      <c r="G8" t="s">
        <v>22</v>
      </c>
    </row>
    <row r="9" spans="1:9">
      <c r="A9" t="s">
        <v>7</v>
      </c>
      <c r="B9" s="2">
        <f>273+30</f>
        <v>303</v>
      </c>
      <c r="C9" t="s">
        <v>14</v>
      </c>
      <c r="E9" t="s">
        <v>58</v>
      </c>
      <c r="F9" s="2">
        <f>273+25</f>
        <v>298</v>
      </c>
      <c r="G9" t="s">
        <v>14</v>
      </c>
    </row>
    <row r="10" spans="1:9">
      <c r="A10" t="s">
        <v>15</v>
      </c>
      <c r="B10">
        <f>1/(B2*B6)+B4/(B5*B6)+1/(B3*B6)</f>
        <v>5.4121212121212119E-4</v>
      </c>
      <c r="E10" t="s">
        <v>59</v>
      </c>
      <c r="F10">
        <f>B7</f>
        <v>278</v>
      </c>
      <c r="G10" t="s">
        <v>14</v>
      </c>
    </row>
    <row r="11" spans="1:9">
      <c r="A11" t="s">
        <v>16</v>
      </c>
      <c r="B11">
        <f>1/B10</f>
        <v>1847.704367301232</v>
      </c>
      <c r="E11" t="s">
        <v>60</v>
      </c>
      <c r="F11" s="2">
        <v>3.9</v>
      </c>
      <c r="G11" t="s">
        <v>63</v>
      </c>
    </row>
    <row r="12" spans="1:9">
      <c r="A12" t="s">
        <v>17</v>
      </c>
      <c r="B12">
        <f>B11*(B9-B7)</f>
        <v>46192.609182530796</v>
      </c>
      <c r="C12" t="s">
        <v>24</v>
      </c>
      <c r="E12" t="s">
        <v>6</v>
      </c>
      <c r="F12" s="4">
        <f>F8*F11*(F9-F10)*1000</f>
        <v>93600000000</v>
      </c>
      <c r="G12" t="s">
        <v>66</v>
      </c>
    </row>
    <row r="13" spans="1:9">
      <c r="A13" t="s">
        <v>18</v>
      </c>
      <c r="B13">
        <f>B11*(B9-B8)</f>
        <v>88689.809630459131</v>
      </c>
      <c r="C13" t="s">
        <v>24</v>
      </c>
    </row>
    <row r="14" spans="1:9">
      <c r="A14" t="s">
        <v>64</v>
      </c>
      <c r="B14" s="4">
        <f>B13*(B11-B9)+F12</f>
        <v>93736999536.271286</v>
      </c>
      <c r="C14" t="s">
        <v>24</v>
      </c>
    </row>
    <row r="15" spans="1:9">
      <c r="A15" t="s">
        <v>65</v>
      </c>
      <c r="B15" s="4">
        <f>B13*(B11-B10)+F21</f>
        <v>523003872500.58929</v>
      </c>
      <c r="C15" t="s">
        <v>24</v>
      </c>
      <c r="E15" t="s">
        <v>61</v>
      </c>
    </row>
    <row r="16" spans="1:9">
      <c r="E16" t="s">
        <v>21</v>
      </c>
      <c r="F16" s="4">
        <f>F3</f>
        <v>1200000</v>
      </c>
      <c r="G16" t="s">
        <v>22</v>
      </c>
    </row>
    <row r="17" spans="1:7">
      <c r="E17" t="s">
        <v>58</v>
      </c>
      <c r="F17" s="2">
        <f>273+25</f>
        <v>298</v>
      </c>
      <c r="G17" t="s">
        <v>14</v>
      </c>
    </row>
    <row r="18" spans="1:7">
      <c r="A18" t="s">
        <v>67</v>
      </c>
      <c r="B18">
        <f>B12*3+B13+F4*3</f>
        <v>317267.63717805152</v>
      </c>
      <c r="C18" t="s">
        <v>24</v>
      </c>
      <c r="E18" t="s">
        <v>59</v>
      </c>
      <c r="F18">
        <f>B8</f>
        <v>255</v>
      </c>
      <c r="G18" t="s">
        <v>14</v>
      </c>
    </row>
    <row r="19" spans="1:7">
      <c r="B19">
        <f>B18/1000</f>
        <v>317.26763717805153</v>
      </c>
      <c r="C19" t="s">
        <v>25</v>
      </c>
      <c r="E19" t="s">
        <v>60</v>
      </c>
      <c r="F19" s="8">
        <f>F11</f>
        <v>3.9</v>
      </c>
      <c r="G19" t="s">
        <v>63</v>
      </c>
    </row>
    <row r="20" spans="1:7">
      <c r="E20" t="s">
        <v>62</v>
      </c>
      <c r="F20" s="2">
        <f>335*0.8</f>
        <v>268</v>
      </c>
      <c r="G20" t="s">
        <v>43</v>
      </c>
    </row>
    <row r="21" spans="1:7">
      <c r="A21" t="s">
        <v>68</v>
      </c>
      <c r="B21">
        <f>(B12+B14)*3+(B13+B15)+F4*3</f>
        <v>804215188377.04028</v>
      </c>
      <c r="C21" t="s">
        <v>24</v>
      </c>
      <c r="E21" t="s">
        <v>6</v>
      </c>
      <c r="F21" s="4">
        <f>(F16*F19*(F17-F18)+F20*F16)*1000</f>
        <v>522840000000</v>
      </c>
      <c r="G21" t="s">
        <v>66</v>
      </c>
    </row>
    <row r="22" spans="1:7">
      <c r="B22">
        <f>B21/1000</f>
        <v>804215188.37704027</v>
      </c>
      <c r="C22" t="s">
        <v>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7" sqref="E7"/>
    </sheetView>
  </sheetViews>
  <sheetFormatPr baseColWidth="10" defaultRowHeight="15" x14ac:dyDescent="0"/>
  <cols>
    <col min="1" max="1" width="25.5" customWidth="1"/>
  </cols>
  <sheetData>
    <row r="1" spans="1:5">
      <c r="A1" t="s">
        <v>26</v>
      </c>
    </row>
    <row r="3" spans="1:5">
      <c r="A3" t="s">
        <v>45</v>
      </c>
      <c r="B3" s="2" t="s">
        <v>46</v>
      </c>
      <c r="E3" t="s">
        <v>72</v>
      </c>
    </row>
    <row r="4" spans="1:5">
      <c r="A4" t="s">
        <v>28</v>
      </c>
      <c r="B4" s="2">
        <v>400</v>
      </c>
      <c r="C4" t="s">
        <v>41</v>
      </c>
      <c r="E4" t="s">
        <v>74</v>
      </c>
    </row>
    <row r="5" spans="1:5">
      <c r="A5" t="s">
        <v>29</v>
      </c>
      <c r="B5" s="2">
        <f>273-5</f>
        <v>268</v>
      </c>
      <c r="C5" t="s">
        <v>14</v>
      </c>
      <c r="E5" t="s">
        <v>73</v>
      </c>
    </row>
    <row r="6" spans="1:5">
      <c r="A6" t="s">
        <v>27</v>
      </c>
      <c r="B6" s="2">
        <v>150</v>
      </c>
      <c r="C6" t="s">
        <v>41</v>
      </c>
    </row>
    <row r="7" spans="1:5">
      <c r="A7" t="s">
        <v>30</v>
      </c>
      <c r="B7" s="2">
        <f>273+15</f>
        <v>288</v>
      </c>
      <c r="C7" t="s">
        <v>14</v>
      </c>
      <c r="E7" t="s">
        <v>75</v>
      </c>
    </row>
    <row r="8" spans="1:5">
      <c r="A8" t="s">
        <v>31</v>
      </c>
      <c r="B8" s="2">
        <v>10</v>
      </c>
      <c r="C8" t="s">
        <v>14</v>
      </c>
    </row>
    <row r="9" spans="1:5">
      <c r="A9" t="s">
        <v>32</v>
      </c>
      <c r="B9" s="2">
        <v>10</v>
      </c>
      <c r="C9" t="s">
        <v>14</v>
      </c>
    </row>
    <row r="10" spans="1:5">
      <c r="A10" t="s">
        <v>40</v>
      </c>
      <c r="B10">
        <f>'Cooling Load'!B19</f>
        <v>317.26763717805153</v>
      </c>
      <c r="C10" t="s">
        <v>25</v>
      </c>
    </row>
    <row r="11" spans="1:5">
      <c r="A11" t="s">
        <v>42</v>
      </c>
      <c r="B11">
        <f>B10/(B13-B12)</f>
        <v>1.5863381858902577</v>
      </c>
      <c r="C11" t="s">
        <v>22</v>
      </c>
    </row>
    <row r="12" spans="1:5">
      <c r="A12" t="s">
        <v>33</v>
      </c>
      <c r="B12" s="2">
        <v>100</v>
      </c>
      <c r="C12" t="s">
        <v>43</v>
      </c>
    </row>
    <row r="13" spans="1:5">
      <c r="A13" t="s">
        <v>34</v>
      </c>
      <c r="B13" s="2">
        <v>300</v>
      </c>
      <c r="C13" t="s">
        <v>43</v>
      </c>
    </row>
    <row r="14" spans="1:5">
      <c r="A14" t="s">
        <v>35</v>
      </c>
      <c r="B14" s="2">
        <v>350</v>
      </c>
      <c r="C14" t="s">
        <v>43</v>
      </c>
    </row>
    <row r="15" spans="1:5">
      <c r="A15" t="s">
        <v>36</v>
      </c>
      <c r="B15">
        <f>B11*(B14-B13)/B18</f>
        <v>88.129899216125423</v>
      </c>
      <c r="C15" t="s">
        <v>44</v>
      </c>
    </row>
    <row r="16" spans="1:5">
      <c r="A16" t="s">
        <v>37</v>
      </c>
      <c r="B16">
        <f>B11*(B14-B12)</f>
        <v>396.5845464725644</v>
      </c>
      <c r="C16" t="s">
        <v>44</v>
      </c>
    </row>
    <row r="17" spans="1:3">
      <c r="A17" t="s">
        <v>38</v>
      </c>
      <c r="B17">
        <f>B11*(B13-B12)</f>
        <v>317.26763717805153</v>
      </c>
      <c r="C17" t="s">
        <v>44</v>
      </c>
    </row>
    <row r="18" spans="1:3">
      <c r="A18" t="s">
        <v>71</v>
      </c>
      <c r="B18" s="7">
        <v>0.9</v>
      </c>
    </row>
    <row r="19" spans="1:3">
      <c r="A19" t="s">
        <v>39</v>
      </c>
      <c r="B19" s="5">
        <f>(B13-B12)/(B14-B13)*B18</f>
        <v>3.6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7" sqref="E7"/>
    </sheetView>
  </sheetViews>
  <sheetFormatPr baseColWidth="10" defaultRowHeight="15" x14ac:dyDescent="0"/>
  <cols>
    <col min="1" max="1" width="31.5" bestFit="1" customWidth="1"/>
  </cols>
  <sheetData>
    <row r="1" spans="1:5">
      <c r="A1" t="s">
        <v>47</v>
      </c>
    </row>
    <row r="3" spans="1:5">
      <c r="A3" t="s">
        <v>45</v>
      </c>
      <c r="B3" s="2" t="s">
        <v>46</v>
      </c>
      <c r="E3" t="s">
        <v>72</v>
      </c>
    </row>
    <row r="4" spans="1:5">
      <c r="A4" t="s">
        <v>28</v>
      </c>
      <c r="B4" s="2">
        <v>400</v>
      </c>
      <c r="C4" t="s">
        <v>41</v>
      </c>
      <c r="E4" t="s">
        <v>74</v>
      </c>
    </row>
    <row r="5" spans="1:5">
      <c r="A5" t="s">
        <v>29</v>
      </c>
      <c r="B5" s="2">
        <f>273-5</f>
        <v>268</v>
      </c>
      <c r="C5" t="s">
        <v>14</v>
      </c>
      <c r="E5" t="s">
        <v>73</v>
      </c>
    </row>
    <row r="6" spans="1:5">
      <c r="A6" t="s">
        <v>51</v>
      </c>
      <c r="B6" s="2">
        <v>300</v>
      </c>
      <c r="C6" t="s">
        <v>41</v>
      </c>
    </row>
    <row r="7" spans="1:5">
      <c r="A7" t="s">
        <v>52</v>
      </c>
      <c r="B7" s="2">
        <f>273-2</f>
        <v>271</v>
      </c>
      <c r="C7" t="s">
        <v>14</v>
      </c>
      <c r="E7" t="s">
        <v>75</v>
      </c>
    </row>
    <row r="8" spans="1:5">
      <c r="A8" t="s">
        <v>27</v>
      </c>
      <c r="B8" s="2">
        <v>150</v>
      </c>
      <c r="C8" t="s">
        <v>41</v>
      </c>
    </row>
    <row r="9" spans="1:5">
      <c r="A9" t="s">
        <v>30</v>
      </c>
      <c r="B9" s="2">
        <f>273+15</f>
        <v>288</v>
      </c>
      <c r="C9" t="s">
        <v>14</v>
      </c>
    </row>
    <row r="10" spans="1:5">
      <c r="A10" t="s">
        <v>31</v>
      </c>
      <c r="B10" s="2">
        <v>10</v>
      </c>
      <c r="C10" t="s">
        <v>14</v>
      </c>
    </row>
    <row r="11" spans="1:5">
      <c r="A11" t="s">
        <v>32</v>
      </c>
      <c r="B11" s="2">
        <v>10</v>
      </c>
      <c r="C11" t="s">
        <v>14</v>
      </c>
    </row>
    <row r="12" spans="1:5">
      <c r="A12" t="s">
        <v>40</v>
      </c>
      <c r="B12">
        <f>'Cooling Load'!B19</f>
        <v>317.26763717805153</v>
      </c>
      <c r="C12" t="s">
        <v>25</v>
      </c>
    </row>
    <row r="13" spans="1:5">
      <c r="A13" t="s">
        <v>48</v>
      </c>
      <c r="B13">
        <f>B12/(B18-B17)*(B19-B17)/(B19-B16)</f>
        <v>1.5971296021208037</v>
      </c>
      <c r="C13" t="s">
        <v>22</v>
      </c>
    </row>
    <row r="14" spans="1:5">
      <c r="A14" t="s">
        <v>50</v>
      </c>
      <c r="B14" s="2">
        <f>B13*0.3</f>
        <v>0.4791388806362411</v>
      </c>
      <c r="C14" t="s">
        <v>22</v>
      </c>
    </row>
    <row r="15" spans="1:5">
      <c r="A15" t="s">
        <v>49</v>
      </c>
      <c r="B15">
        <f>B13-B14</f>
        <v>1.1179907214845626</v>
      </c>
      <c r="C15" t="s">
        <v>22</v>
      </c>
    </row>
    <row r="16" spans="1:5">
      <c r="A16" t="s">
        <v>33</v>
      </c>
      <c r="B16" s="2">
        <v>100</v>
      </c>
      <c r="C16" t="s">
        <v>43</v>
      </c>
    </row>
    <row r="17" spans="1:3">
      <c r="A17" t="s">
        <v>53</v>
      </c>
      <c r="B17" s="2">
        <v>125</v>
      </c>
      <c r="C17" t="s">
        <v>43</v>
      </c>
    </row>
    <row r="18" spans="1:3">
      <c r="A18" t="s">
        <v>34</v>
      </c>
      <c r="B18" s="2">
        <v>300</v>
      </c>
      <c r="C18" t="s">
        <v>43</v>
      </c>
    </row>
    <row r="19" spans="1:3">
      <c r="A19" t="s">
        <v>54</v>
      </c>
      <c r="B19" s="2">
        <v>310</v>
      </c>
      <c r="C19" t="s">
        <v>43</v>
      </c>
    </row>
    <row r="20" spans="1:3">
      <c r="A20" t="s">
        <v>35</v>
      </c>
      <c r="B20" s="2">
        <v>350</v>
      </c>
      <c r="C20" t="s">
        <v>43</v>
      </c>
    </row>
    <row r="21" spans="1:3">
      <c r="A21" t="s">
        <v>55</v>
      </c>
      <c r="B21" s="2">
        <v>330</v>
      </c>
      <c r="C21" t="s">
        <v>43</v>
      </c>
    </row>
    <row r="22" spans="1:3">
      <c r="A22" t="s">
        <v>36</v>
      </c>
      <c r="B22">
        <f>B14*(B20-B18)/B26</f>
        <v>26.618826702013397</v>
      </c>
      <c r="C22" t="s">
        <v>44</v>
      </c>
    </row>
    <row r="23" spans="1:3">
      <c r="A23" t="s">
        <v>56</v>
      </c>
      <c r="B23">
        <f>B15*(B21-B19)/B27</f>
        <v>24.844238255212503</v>
      </c>
      <c r="C23" t="s">
        <v>44</v>
      </c>
    </row>
    <row r="24" spans="1:3">
      <c r="A24" t="s">
        <v>37</v>
      </c>
      <c r="B24">
        <f>B14*(B20-B16)+B15*(B21-B16)</f>
        <v>376.92258610050965</v>
      </c>
      <c r="C24" t="s">
        <v>44</v>
      </c>
    </row>
    <row r="25" spans="1:3">
      <c r="A25" t="s">
        <v>38</v>
      </c>
      <c r="B25">
        <f>B13*(B18-B17)</f>
        <v>279.49768037114063</v>
      </c>
      <c r="C25" t="s">
        <v>44</v>
      </c>
    </row>
    <row r="26" spans="1:3">
      <c r="A26" t="s">
        <v>69</v>
      </c>
      <c r="B26" s="6">
        <v>0.9</v>
      </c>
    </row>
    <row r="27" spans="1:3">
      <c r="A27" t="s">
        <v>70</v>
      </c>
      <c r="B27" s="6">
        <v>0.9</v>
      </c>
    </row>
    <row r="28" spans="1:3">
      <c r="A28" t="s">
        <v>39</v>
      </c>
      <c r="B28" s="5">
        <f>B12/(B22+B23)</f>
        <v>6.1649580615097852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Cooling Load</vt:lpstr>
      <vt:lpstr>Single Stage</vt:lpstr>
      <vt:lpstr>Multi-Stage</vt:lpstr>
    </vt:vector>
  </TitlesOfParts>
  <Company>North Carolina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Joyner</dc:creator>
  <cp:lastModifiedBy>Helen Joyner</cp:lastModifiedBy>
  <dcterms:created xsi:type="dcterms:W3CDTF">2014-04-09T18:26:14Z</dcterms:created>
  <dcterms:modified xsi:type="dcterms:W3CDTF">2014-07-03T14:28:58Z</dcterms:modified>
</cp:coreProperties>
</file>